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7710"/>
  </bookViews>
  <sheets>
    <sheet name="fixed variable" sheetId="1" r:id="rId1"/>
    <sheet name="margin" sheetId="2" r:id="rId2"/>
    <sheet name="job pricing model" sheetId="4" r:id="rId3"/>
  </sheets>
  <calcPr calcId="125725"/>
</workbook>
</file>

<file path=xl/calcChain.xml><?xml version="1.0" encoding="utf-8"?>
<calcChain xmlns="http://schemas.openxmlformats.org/spreadsheetml/2006/main">
  <c r="C27" i="4"/>
  <c r="E24"/>
  <c r="E16"/>
  <c r="E15"/>
  <c r="E14"/>
  <c r="E13"/>
  <c r="E12"/>
  <c r="E11"/>
  <c r="E6"/>
  <c r="E5"/>
  <c r="E4"/>
  <c r="E8" l="1"/>
  <c r="E27" s="1"/>
  <c r="E30" s="1"/>
  <c r="E18"/>
  <c r="E25" s="1"/>
  <c r="E7"/>
  <c r="E17"/>
  <c r="E29" l="1"/>
  <c r="E28"/>
  <c r="K9" i="2" l="1"/>
  <c r="L9" s="1"/>
  <c r="L8"/>
  <c r="L7"/>
  <c r="L6"/>
  <c r="G7"/>
  <c r="H7" s="1"/>
  <c r="C7"/>
  <c r="D7" s="1"/>
  <c r="H8"/>
  <c r="H6"/>
  <c r="D8"/>
  <c r="D6"/>
  <c r="V10" i="1"/>
  <c r="W18"/>
  <c r="W16"/>
  <c r="W15"/>
  <c r="W14"/>
  <c r="W13"/>
  <c r="W12"/>
  <c r="W11"/>
  <c r="W10"/>
  <c r="W7"/>
  <c r="V15"/>
  <c r="V14"/>
  <c r="V13"/>
  <c r="G9" i="2" l="1"/>
  <c r="H9" s="1"/>
  <c r="C9"/>
  <c r="D9" s="1"/>
  <c r="V21" i="1"/>
  <c r="V11"/>
  <c r="S13"/>
  <c r="T13" s="1"/>
  <c r="S10"/>
  <c r="T15"/>
  <c r="S15"/>
  <c r="T14"/>
  <c r="S14"/>
  <c r="T12"/>
  <c r="T7"/>
  <c r="P15"/>
  <c r="Q15" s="1"/>
  <c r="P14"/>
  <c r="Q14" s="1"/>
  <c r="Q13"/>
  <c r="P13"/>
  <c r="P21" s="1"/>
  <c r="Q12"/>
  <c r="Q10"/>
  <c r="Q7"/>
  <c r="M13"/>
  <c r="M21" s="1"/>
  <c r="M15"/>
  <c r="N15" s="1"/>
  <c r="N14"/>
  <c r="M14"/>
  <c r="N12"/>
  <c r="N10"/>
  <c r="N7"/>
  <c r="G10"/>
  <c r="G21" s="1"/>
  <c r="D10"/>
  <c r="E10" s="1"/>
  <c r="K13"/>
  <c r="H13"/>
  <c r="E13"/>
  <c r="J15"/>
  <c r="K15" s="1"/>
  <c r="J14"/>
  <c r="K14" s="1"/>
  <c r="K12"/>
  <c r="J10"/>
  <c r="J21" s="1"/>
  <c r="K7"/>
  <c r="G15"/>
  <c r="H15" s="1"/>
  <c r="G14"/>
  <c r="H14" s="1"/>
  <c r="H12"/>
  <c r="H7"/>
  <c r="E12"/>
  <c r="E7"/>
  <c r="D15"/>
  <c r="E15" s="1"/>
  <c r="D14"/>
  <c r="E14" s="1"/>
  <c r="V16" l="1"/>
  <c r="S21"/>
  <c r="S11"/>
  <c r="S16" s="1"/>
  <c r="T10"/>
  <c r="J11"/>
  <c r="K11" s="1"/>
  <c r="G11"/>
  <c r="H11" s="1"/>
  <c r="D11"/>
  <c r="E11" s="1"/>
  <c r="P11"/>
  <c r="P16" s="1"/>
  <c r="P18" s="1"/>
  <c r="Q18" s="1"/>
  <c r="D21"/>
  <c r="M11"/>
  <c r="N11" s="1"/>
  <c r="N13"/>
  <c r="K10"/>
  <c r="H10"/>
  <c r="V18" l="1"/>
  <c r="T11"/>
  <c r="S18"/>
  <c r="T18" s="1"/>
  <c r="T16"/>
  <c r="Q11"/>
  <c r="J16"/>
  <c r="J18" s="1"/>
  <c r="K18" s="1"/>
  <c r="Q16"/>
  <c r="M16"/>
  <c r="M18" s="1"/>
  <c r="N18" s="1"/>
  <c r="D16"/>
  <c r="G16"/>
  <c r="K16" l="1"/>
  <c r="N16"/>
  <c r="D18"/>
  <c r="E18" s="1"/>
  <c r="E16"/>
  <c r="H16"/>
  <c r="G18"/>
  <c r="H18" s="1"/>
</calcChain>
</file>

<file path=xl/sharedStrings.xml><?xml version="1.0" encoding="utf-8"?>
<sst xmlns="http://schemas.openxmlformats.org/spreadsheetml/2006/main" count="90" uniqueCount="75">
  <si>
    <t>Scenario A</t>
  </si>
  <si>
    <t>Scenario B</t>
  </si>
  <si>
    <t>Sales</t>
  </si>
  <si>
    <t>payroll taxes</t>
  </si>
  <si>
    <t>benefits</t>
  </si>
  <si>
    <t>vehicle</t>
  </si>
  <si>
    <t>@$17/hr</t>
  </si>
  <si>
    <t>12% of pay</t>
  </si>
  <si>
    <t>$5k/yr</t>
  </si>
  <si>
    <t>3% of sales</t>
  </si>
  <si>
    <t>1% of sales</t>
  </si>
  <si>
    <t>Job Costs:</t>
  </si>
  <si>
    <t>Total cost</t>
  </si>
  <si>
    <t>Scenario C</t>
  </si>
  <si>
    <t>labor</t>
  </si>
  <si>
    <t>commission</t>
  </si>
  <si>
    <t>Scenario D</t>
  </si>
  <si>
    <t>Fixed vs. Variable Illustration</t>
  </si>
  <si>
    <t>Employee Gross Pay</t>
  </si>
  <si>
    <t>Scenario E</t>
  </si>
  <si>
    <t>Slow sales day; paid 8 hours</t>
  </si>
  <si>
    <t>Slow sales day; paid 4 hours</t>
  </si>
  <si>
    <t>Avg sales day; paid 8 hours</t>
  </si>
  <si>
    <t>Avg sales day; paid commission only</t>
  </si>
  <si>
    <t>Busy sales day; paid commission only</t>
  </si>
  <si>
    <t>Scenario F</t>
  </si>
  <si>
    <t>Avg sales day;  commission+min wage base</t>
  </si>
  <si>
    <t>Tech Larry works for you.</t>
  </si>
  <si>
    <t>Here is yesterday's performance.</t>
  </si>
  <si>
    <t>supplies</t>
  </si>
  <si>
    <t>Scenario W</t>
  </si>
  <si>
    <t>Warranty call backs all day</t>
  </si>
  <si>
    <t>Benefits/(Cost) to Company:</t>
  </si>
  <si>
    <t>Benefits/(Cost) to Employee:</t>
  </si>
  <si>
    <t>Service vs. Job Margin Illustration</t>
  </si>
  <si>
    <t>service</t>
  </si>
  <si>
    <t>job</t>
  </si>
  <si>
    <t>revenue</t>
  </si>
  <si>
    <t>-</t>
  </si>
  <si>
    <t>gross profit</t>
  </si>
  <si>
    <t>product cost</t>
  </si>
  <si>
    <t>labor to install</t>
  </si>
  <si>
    <t>retail store</t>
  </si>
  <si>
    <t>part cost</t>
  </si>
  <si>
    <t>store labor???</t>
  </si>
  <si>
    <t>Job Pricing Model</t>
  </si>
  <si>
    <t>Job Labor:</t>
  </si>
  <si>
    <t>hours</t>
  </si>
  <si>
    <t>rate</t>
  </si>
  <si>
    <t>total</t>
  </si>
  <si>
    <t>employee 1</t>
  </si>
  <si>
    <t>employee 2</t>
  </si>
  <si>
    <t>payroll tax &amp; benefits</t>
  </si>
  <si>
    <t>markup on all</t>
  </si>
  <si>
    <t>TOTAL LABOR</t>
  </si>
  <si>
    <t>Job Materials:</t>
  </si>
  <si>
    <t>qty</t>
  </si>
  <si>
    <t>cost</t>
  </si>
  <si>
    <t>material A</t>
  </si>
  <si>
    <t>material B</t>
  </si>
  <si>
    <t>material C</t>
  </si>
  <si>
    <t>material D</t>
  </si>
  <si>
    <t>material E</t>
  </si>
  <si>
    <t>material F</t>
  </si>
  <si>
    <t>TOTAL MATERIALS</t>
  </si>
  <si>
    <t>Subcontract:</t>
  </si>
  <si>
    <t>electrical</t>
  </si>
  <si>
    <t>plumbing</t>
  </si>
  <si>
    <t>other</t>
  </si>
  <si>
    <t>TOTAL SUBCONTRACT</t>
  </si>
  <si>
    <t>TOTAL JOB COST</t>
  </si>
  <si>
    <t>COMMISSION</t>
  </si>
  <si>
    <t>TARGET PROFIT MARGIN</t>
  </si>
  <si>
    <t>PRICE TO QUOTE</t>
  </si>
  <si>
    <t>Net Contribution to OH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</si>
</sst>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quotePrefix="1"/>
    <xf numFmtId="39" fontId="0" fillId="0" borderId="0" xfId="0" applyNumberFormat="1"/>
    <xf numFmtId="9" fontId="0" fillId="0" borderId="0" xfId="2" applyFont="1"/>
    <xf numFmtId="164" fontId="3" fillId="0" borderId="0" xfId="2" applyNumberFormat="1" applyFont="1" applyAlignment="1">
      <alignment horizontal="right"/>
    </xf>
    <xf numFmtId="39" fontId="0" fillId="0" borderId="0" xfId="0" applyNumberFormat="1" applyAlignment="1">
      <alignment horizontal="right"/>
    </xf>
    <xf numFmtId="7" fontId="0" fillId="0" borderId="0" xfId="1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0" fillId="2" borderId="0" xfId="0" applyFill="1"/>
    <xf numFmtId="7" fontId="0" fillId="2" borderId="0" xfId="1" applyNumberFormat="1" applyFont="1" applyFill="1"/>
    <xf numFmtId="44" fontId="0" fillId="2" borderId="0" xfId="1" applyFont="1" applyFill="1"/>
    <xf numFmtId="0" fontId="7" fillId="0" borderId="0" xfId="0" applyFont="1"/>
    <xf numFmtId="0" fontId="5" fillId="0" borderId="0" xfId="0" quotePrefix="1" applyFont="1" applyAlignment="1">
      <alignment horizontal="right"/>
    </xf>
    <xf numFmtId="0" fontId="5" fillId="0" borderId="1" xfId="0" applyFont="1" applyBorder="1"/>
    <xf numFmtId="164" fontId="8" fillId="0" borderId="0" xfId="2" applyNumberFormat="1" applyFont="1"/>
    <xf numFmtId="39" fontId="5" fillId="0" borderId="0" xfId="0" applyNumberFormat="1" applyFont="1"/>
    <xf numFmtId="39" fontId="5" fillId="0" borderId="1" xfId="0" applyNumberFormat="1" applyFont="1" applyBorder="1"/>
    <xf numFmtId="0" fontId="9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39" fontId="0" fillId="0" borderId="0" xfId="1" applyNumberFormat="1" applyFont="1"/>
    <xf numFmtId="39" fontId="0" fillId="2" borderId="0" xfId="0" applyNumberFormat="1" applyFill="1"/>
    <xf numFmtId="0" fontId="0" fillId="4" borderId="0" xfId="0" applyFill="1"/>
    <xf numFmtId="9" fontId="0" fillId="4" borderId="0" xfId="0" applyNumberFormat="1" applyFill="1"/>
    <xf numFmtId="39" fontId="0" fillId="4" borderId="0" xfId="1" applyNumberFormat="1" applyFont="1" applyFill="1"/>
    <xf numFmtId="9" fontId="0" fillId="3" borderId="0" xfId="0" applyNumberFormat="1" applyFill="1"/>
    <xf numFmtId="9" fontId="0" fillId="3" borderId="0" xfId="2" applyFont="1" applyFill="1"/>
    <xf numFmtId="0" fontId="0" fillId="0" borderId="2" xfId="0" applyBorder="1"/>
    <xf numFmtId="0" fontId="0" fillId="0" borderId="3" xfId="0" applyBorder="1"/>
    <xf numFmtId="39" fontId="0" fillId="0" borderId="4" xfId="1" applyNumberFormat="1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Normal="100" workbookViewId="0">
      <pane ySplit="5" topLeftCell="A6" activePane="bottomLeft" state="frozenSplit"/>
      <selection pane="bottomLeft" activeCell="A19" sqref="A19"/>
    </sheetView>
  </sheetViews>
  <sheetFormatPr defaultRowHeight="15" outlineLevelCol="1"/>
  <cols>
    <col min="1" max="1" width="1.7109375" customWidth="1"/>
    <col min="2" max="2" width="14.7109375" customWidth="1"/>
    <col min="3" max="3" width="12.28515625" customWidth="1"/>
    <col min="4" max="4" width="9" customWidth="1" outlineLevel="1"/>
    <col min="5" max="5" width="6" customWidth="1" outlineLevel="1"/>
    <col min="6" max="6" width="3.7109375" customWidth="1"/>
    <col min="7" max="7" width="9" customWidth="1" outlineLevel="1"/>
    <col min="8" max="8" width="6" customWidth="1" outlineLevel="1"/>
    <col min="9" max="9" width="3.7109375" customWidth="1"/>
    <col min="10" max="10" width="10.5703125" customWidth="1" outlineLevel="1"/>
    <col min="11" max="11" width="6" customWidth="1" outlineLevel="1"/>
    <col min="12" max="12" width="3.7109375" customWidth="1"/>
    <col min="13" max="13" width="10.5703125" customWidth="1" outlineLevel="1"/>
    <col min="14" max="14" width="6" customWidth="1" outlineLevel="1"/>
    <col min="15" max="15" width="3.7109375" customWidth="1"/>
    <col min="16" max="16" width="10.5703125" customWidth="1" outlineLevel="1"/>
    <col min="17" max="17" width="6" customWidth="1" outlineLevel="1"/>
    <col min="18" max="18" width="3.7109375" customWidth="1"/>
    <col min="19" max="19" width="9.85546875" customWidth="1" outlineLevel="1"/>
    <col min="20" max="20" width="6" customWidth="1" outlineLevel="1"/>
    <col min="21" max="21" width="3.7109375" customWidth="1"/>
    <col min="22" max="22" width="9.85546875" bestFit="1" customWidth="1" outlineLevel="1"/>
    <col min="23" max="23" width="6" customWidth="1" outlineLevel="1"/>
    <col min="24" max="24" width="3.7109375" customWidth="1"/>
  </cols>
  <sheetData>
    <row r="1" spans="1:23" ht="18.75">
      <c r="A1" s="10" t="s">
        <v>17</v>
      </c>
    </row>
    <row r="3" spans="1:23" ht="15.75">
      <c r="A3" s="11" t="s">
        <v>27</v>
      </c>
      <c r="D3" s="8" t="s">
        <v>0</v>
      </c>
      <c r="E3" s="8"/>
      <c r="F3" s="9"/>
      <c r="G3" s="8" t="s">
        <v>1</v>
      </c>
      <c r="H3" s="8"/>
      <c r="I3" s="9"/>
      <c r="J3" s="8" t="s">
        <v>13</v>
      </c>
      <c r="K3" s="8"/>
      <c r="L3" s="9"/>
      <c r="M3" s="8" t="s">
        <v>16</v>
      </c>
      <c r="N3" s="8"/>
      <c r="O3" s="9"/>
      <c r="P3" s="8" t="s">
        <v>19</v>
      </c>
      <c r="Q3" s="8"/>
      <c r="R3" s="9"/>
      <c r="S3" s="8" t="s">
        <v>25</v>
      </c>
      <c r="T3" s="8"/>
      <c r="V3" s="8" t="s">
        <v>30</v>
      </c>
      <c r="W3" s="8"/>
    </row>
    <row r="4" spans="1:23" ht="21" customHeight="1">
      <c r="A4" s="12" t="s">
        <v>28</v>
      </c>
      <c r="D4" s="34" t="s">
        <v>20</v>
      </c>
      <c r="E4" s="34"/>
      <c r="G4" s="34" t="s">
        <v>21</v>
      </c>
      <c r="H4" s="35"/>
      <c r="J4" s="34" t="s">
        <v>22</v>
      </c>
      <c r="K4" s="35"/>
      <c r="M4" s="34" t="s">
        <v>23</v>
      </c>
      <c r="N4" s="35"/>
      <c r="P4" s="34" t="s">
        <v>24</v>
      </c>
      <c r="Q4" s="35"/>
      <c r="S4" s="34" t="s">
        <v>26</v>
      </c>
      <c r="T4" s="35"/>
      <c r="V4" s="34" t="s">
        <v>31</v>
      </c>
      <c r="W4" s="35"/>
    </row>
    <row r="5" spans="1:23" ht="21" customHeight="1">
      <c r="D5" s="34"/>
      <c r="E5" s="34"/>
      <c r="G5" s="35"/>
      <c r="H5" s="35"/>
      <c r="J5" s="35"/>
      <c r="K5" s="35"/>
      <c r="M5" s="35"/>
      <c r="N5" s="35"/>
      <c r="P5" s="35"/>
      <c r="Q5" s="35"/>
      <c r="S5" s="35"/>
      <c r="T5" s="35"/>
      <c r="V5" s="35"/>
      <c r="W5" s="35"/>
    </row>
    <row r="7" spans="1:23">
      <c r="A7" t="s">
        <v>2</v>
      </c>
      <c r="D7" s="6">
        <v>200</v>
      </c>
      <c r="E7" s="4">
        <f>ROUND(D7/D$7,3)</f>
        <v>1</v>
      </c>
      <c r="F7" s="4"/>
      <c r="G7" s="6">
        <v>200</v>
      </c>
      <c r="H7" s="4">
        <f>ROUND(G7/G$7,3)</f>
        <v>1</v>
      </c>
      <c r="I7" s="2"/>
      <c r="J7" s="6">
        <v>1000</v>
      </c>
      <c r="K7" s="4">
        <f>ROUND(J7/J$7,3)</f>
        <v>1</v>
      </c>
      <c r="L7" s="2"/>
      <c r="M7" s="6">
        <v>1000</v>
      </c>
      <c r="N7" s="4">
        <f>ROUND(M7/M$7,3)</f>
        <v>1</v>
      </c>
      <c r="P7" s="6">
        <v>2500</v>
      </c>
      <c r="Q7" s="4">
        <f>ROUND(P7/P$7,3)</f>
        <v>1</v>
      </c>
      <c r="S7" s="6">
        <v>1000</v>
      </c>
      <c r="T7" s="4">
        <f>ROUND(S7/S$7,3)</f>
        <v>1</v>
      </c>
      <c r="V7" s="6">
        <v>0</v>
      </c>
      <c r="W7" s="4" t="str">
        <f>IF(V$7=0,"",ROUND(V7/V$7,3))</f>
        <v/>
      </c>
    </row>
    <row r="8" spans="1:23">
      <c r="D8" s="2"/>
      <c r="E8" s="5"/>
      <c r="F8" s="5"/>
      <c r="G8" s="2"/>
      <c r="H8" s="5"/>
      <c r="I8" s="2"/>
      <c r="J8" s="2"/>
      <c r="K8" s="5"/>
      <c r="L8" s="2"/>
      <c r="M8" s="2"/>
      <c r="N8" s="5"/>
      <c r="P8" s="2"/>
      <c r="Q8" s="5"/>
      <c r="S8" s="2"/>
      <c r="T8" s="5"/>
      <c r="V8" s="2"/>
      <c r="W8" s="5"/>
    </row>
    <row r="9" spans="1:23">
      <c r="A9" t="s">
        <v>11</v>
      </c>
      <c r="D9" s="2"/>
      <c r="E9" s="5"/>
      <c r="F9" s="5"/>
      <c r="G9" s="2"/>
      <c r="H9" s="5"/>
      <c r="I9" s="2"/>
      <c r="J9" s="2"/>
      <c r="K9" s="5"/>
      <c r="L9" s="2"/>
      <c r="M9" s="2"/>
      <c r="N9" s="5"/>
      <c r="P9" s="2"/>
      <c r="Q9" s="5"/>
      <c r="S9" s="2"/>
      <c r="T9" s="5"/>
      <c r="V9" s="2"/>
      <c r="W9" s="5"/>
    </row>
    <row r="10" spans="1:23">
      <c r="B10" t="s">
        <v>14</v>
      </c>
      <c r="C10" s="1" t="s">
        <v>6</v>
      </c>
      <c r="D10" s="2">
        <f>ROUND(17*8,2)</f>
        <v>136</v>
      </c>
      <c r="E10" s="4">
        <f t="shared" ref="E10:E18" si="0">ROUND(D10/D$7,3)</f>
        <v>0.68</v>
      </c>
      <c r="F10" s="4"/>
      <c r="G10" s="2">
        <f>ROUND(17*4,2)</f>
        <v>68</v>
      </c>
      <c r="H10" s="4">
        <f t="shared" ref="H10:H18" si="1">ROUND(G10/G$7,3)</f>
        <v>0.34</v>
      </c>
      <c r="I10" s="2"/>
      <c r="J10" s="2">
        <f>ROUND(17*8,2)</f>
        <v>136</v>
      </c>
      <c r="K10" s="4">
        <f t="shared" ref="K10:K18" si="2">ROUND(J10/J$7,3)</f>
        <v>0.13600000000000001</v>
      </c>
      <c r="L10" s="2"/>
      <c r="M10" s="2"/>
      <c r="N10" s="4">
        <f t="shared" ref="N10:N18" si="3">ROUND(M10/M$7,3)</f>
        <v>0</v>
      </c>
      <c r="P10" s="2"/>
      <c r="Q10" s="4">
        <f t="shared" ref="Q10:Q18" si="4">ROUND(P10/P$7,3)</f>
        <v>0</v>
      </c>
      <c r="S10" s="2">
        <f>ROUND(7.25*8,2)</f>
        <v>58</v>
      </c>
      <c r="T10" s="4">
        <f t="shared" ref="T10:T18" si="5">ROUND(S10/S$7,3)</f>
        <v>5.8000000000000003E-2</v>
      </c>
      <c r="V10" s="2">
        <f>ROUND(17*8,2)</f>
        <v>136</v>
      </c>
      <c r="W10" s="4" t="str">
        <f t="shared" ref="W10:W16" si="6">IF(V$7=0,"",ROUND(V10/V$7,3))</f>
        <v/>
      </c>
    </row>
    <row r="11" spans="1:23">
      <c r="B11" t="s">
        <v>3</v>
      </c>
      <c r="C11" t="s">
        <v>7</v>
      </c>
      <c r="D11" s="2">
        <f>ROUND(SUM(D$10+D13)*0.12,2)</f>
        <v>16.32</v>
      </c>
      <c r="E11" s="4">
        <f t="shared" si="0"/>
        <v>8.2000000000000003E-2</v>
      </c>
      <c r="F11" s="4"/>
      <c r="G11" s="2">
        <f>ROUND(SUM(G$10+G13)*0.12,2)</f>
        <v>8.16</v>
      </c>
      <c r="H11" s="4">
        <f t="shared" si="1"/>
        <v>4.1000000000000002E-2</v>
      </c>
      <c r="I11" s="2"/>
      <c r="J11" s="2">
        <f>ROUND(SUM(J$10+J13)*0.12,2)</f>
        <v>16.32</v>
      </c>
      <c r="K11" s="4">
        <f t="shared" si="2"/>
        <v>1.6E-2</v>
      </c>
      <c r="L11" s="2"/>
      <c r="M11" s="2">
        <f>ROUND(SUM(M$10+M13)*0.12,2)</f>
        <v>20.399999999999999</v>
      </c>
      <c r="N11" s="4">
        <f t="shared" si="3"/>
        <v>0.02</v>
      </c>
      <c r="P11" s="2">
        <f>ROUND(SUM(P$10+P13)*0.12,2)</f>
        <v>51</v>
      </c>
      <c r="Q11" s="4">
        <f t="shared" si="4"/>
        <v>0.02</v>
      </c>
      <c r="S11" s="2">
        <f>ROUND(SUM(S$10+S13)*0.12,2)</f>
        <v>18.96</v>
      </c>
      <c r="T11" s="4">
        <f t="shared" si="5"/>
        <v>1.9E-2</v>
      </c>
      <c r="V11" s="2">
        <f>ROUND(SUM(V$10+V13)*0.12,2)</f>
        <v>16.32</v>
      </c>
      <c r="W11" s="4" t="str">
        <f t="shared" si="6"/>
        <v/>
      </c>
    </row>
    <row r="12" spans="1:23">
      <c r="B12" t="s">
        <v>4</v>
      </c>
      <c r="C12" t="s">
        <v>8</v>
      </c>
      <c r="D12" s="2">
        <v>20</v>
      </c>
      <c r="E12" s="4">
        <f t="shared" si="0"/>
        <v>0.1</v>
      </c>
      <c r="F12" s="4"/>
      <c r="G12" s="2">
        <v>20</v>
      </c>
      <c r="H12" s="4">
        <f t="shared" si="1"/>
        <v>0.1</v>
      </c>
      <c r="I12" s="2"/>
      <c r="J12" s="2">
        <v>20</v>
      </c>
      <c r="K12" s="4">
        <f t="shared" si="2"/>
        <v>0.02</v>
      </c>
      <c r="L12" s="2"/>
      <c r="M12" s="2">
        <v>20</v>
      </c>
      <c r="N12" s="4">
        <f t="shared" si="3"/>
        <v>0.02</v>
      </c>
      <c r="P12" s="2">
        <v>20</v>
      </c>
      <c r="Q12" s="4">
        <f t="shared" si="4"/>
        <v>8.0000000000000002E-3</v>
      </c>
      <c r="S12" s="2">
        <v>20</v>
      </c>
      <c r="T12" s="4">
        <f t="shared" si="5"/>
        <v>0.02</v>
      </c>
      <c r="V12" s="2">
        <v>20</v>
      </c>
      <c r="W12" s="4" t="str">
        <f t="shared" si="6"/>
        <v/>
      </c>
    </row>
    <row r="13" spans="1:23">
      <c r="B13" t="s">
        <v>15</v>
      </c>
      <c r="D13" s="2"/>
      <c r="E13" s="4">
        <f t="shared" si="0"/>
        <v>0</v>
      </c>
      <c r="F13" s="4"/>
      <c r="G13" s="2"/>
      <c r="H13" s="4">
        <f t="shared" si="1"/>
        <v>0</v>
      </c>
      <c r="I13" s="2"/>
      <c r="J13" s="2"/>
      <c r="K13" s="4">
        <f t="shared" si="2"/>
        <v>0</v>
      </c>
      <c r="L13" s="2"/>
      <c r="M13" s="2">
        <f>ROUND(M$7*0.17,2)</f>
        <v>170</v>
      </c>
      <c r="N13" s="4">
        <f t="shared" si="3"/>
        <v>0.17</v>
      </c>
      <c r="P13" s="2">
        <f>ROUND(P$7*0.17,2)</f>
        <v>425</v>
      </c>
      <c r="Q13" s="4">
        <f t="shared" si="4"/>
        <v>0.17</v>
      </c>
      <c r="S13" s="2">
        <f>ROUND(S$7*0.1,2)</f>
        <v>100</v>
      </c>
      <c r="T13" s="4">
        <f t="shared" si="5"/>
        <v>0.1</v>
      </c>
      <c r="V13" s="2">
        <f>ROUND(V$7*0.1,2)</f>
        <v>0</v>
      </c>
      <c r="W13" s="4" t="str">
        <f t="shared" si="6"/>
        <v/>
      </c>
    </row>
    <row r="14" spans="1:23">
      <c r="B14" t="s">
        <v>29</v>
      </c>
      <c r="C14" t="s">
        <v>10</v>
      </c>
      <c r="D14" s="2">
        <f>ROUND(D$7*0.01,2)</f>
        <v>2</v>
      </c>
      <c r="E14" s="4">
        <f t="shared" si="0"/>
        <v>0.01</v>
      </c>
      <c r="F14" s="4"/>
      <c r="G14" s="2">
        <f>ROUND(G$7*0.01,2)</f>
        <v>2</v>
      </c>
      <c r="H14" s="4">
        <f t="shared" si="1"/>
        <v>0.01</v>
      </c>
      <c r="I14" s="2"/>
      <c r="J14" s="2">
        <f>ROUND(J$7*0.01,2)</f>
        <v>10</v>
      </c>
      <c r="K14" s="4">
        <f t="shared" si="2"/>
        <v>0.01</v>
      </c>
      <c r="L14" s="2"/>
      <c r="M14" s="2">
        <f>ROUND(M$7*0.01,2)</f>
        <v>10</v>
      </c>
      <c r="N14" s="4">
        <f t="shared" si="3"/>
        <v>0.01</v>
      </c>
      <c r="P14" s="2">
        <f>ROUND(P$7*0.01,2)</f>
        <v>25</v>
      </c>
      <c r="Q14" s="4">
        <f t="shared" si="4"/>
        <v>0.01</v>
      </c>
      <c r="S14" s="2">
        <f>ROUND(S$7*0.01,2)</f>
        <v>10</v>
      </c>
      <c r="T14" s="4">
        <f t="shared" si="5"/>
        <v>0.01</v>
      </c>
      <c r="V14" s="2">
        <f>ROUND(V$7*0.01,2)</f>
        <v>0</v>
      </c>
      <c r="W14" s="4" t="str">
        <f t="shared" si="6"/>
        <v/>
      </c>
    </row>
    <row r="15" spans="1:23">
      <c r="B15" t="s">
        <v>5</v>
      </c>
      <c r="C15" t="s">
        <v>9</v>
      </c>
      <c r="D15" s="2">
        <f>ROUND(D$7*0.03,2)</f>
        <v>6</v>
      </c>
      <c r="E15" s="4">
        <f t="shared" si="0"/>
        <v>0.03</v>
      </c>
      <c r="F15" s="4"/>
      <c r="G15" s="2">
        <f>ROUND(G$7*0.03,2)</f>
        <v>6</v>
      </c>
      <c r="H15" s="4">
        <f t="shared" si="1"/>
        <v>0.03</v>
      </c>
      <c r="I15" s="2"/>
      <c r="J15" s="2">
        <f>ROUND(J$7*0.03,2)</f>
        <v>30</v>
      </c>
      <c r="K15" s="4">
        <f t="shared" si="2"/>
        <v>0.03</v>
      </c>
      <c r="L15" s="2"/>
      <c r="M15" s="2">
        <f>ROUND(M$7*0.03,2)</f>
        <v>30</v>
      </c>
      <c r="N15" s="4">
        <f t="shared" si="3"/>
        <v>0.03</v>
      </c>
      <c r="P15" s="2">
        <f>ROUND(P$7*0.03,2)</f>
        <v>75</v>
      </c>
      <c r="Q15" s="4">
        <f t="shared" si="4"/>
        <v>0.03</v>
      </c>
      <c r="S15" s="2">
        <f>ROUND(S$7*0.03,2)</f>
        <v>30</v>
      </c>
      <c r="T15" s="4">
        <f t="shared" si="5"/>
        <v>0.03</v>
      </c>
      <c r="V15" s="2">
        <f>ROUND(V$7*0.03,2)</f>
        <v>0</v>
      </c>
      <c r="W15" s="4" t="str">
        <f t="shared" si="6"/>
        <v/>
      </c>
    </row>
    <row r="16" spans="1:23">
      <c r="A16" t="s">
        <v>12</v>
      </c>
      <c r="D16" s="2">
        <f>SUM(D10:D15)</f>
        <v>180.32</v>
      </c>
      <c r="E16" s="4">
        <f t="shared" si="0"/>
        <v>0.90200000000000002</v>
      </c>
      <c r="F16" s="4"/>
      <c r="G16" s="2">
        <f>SUM(G10:G15)</f>
        <v>104.16</v>
      </c>
      <c r="H16" s="4">
        <f t="shared" si="1"/>
        <v>0.52100000000000002</v>
      </c>
      <c r="I16" s="2"/>
      <c r="J16" s="2">
        <f>SUM(J10:J15)</f>
        <v>212.32</v>
      </c>
      <c r="K16" s="4">
        <f t="shared" si="2"/>
        <v>0.21199999999999999</v>
      </c>
      <c r="L16" s="2"/>
      <c r="M16" s="2">
        <f>SUM(M10:M15)</f>
        <v>250.4</v>
      </c>
      <c r="N16" s="4">
        <f t="shared" si="3"/>
        <v>0.25</v>
      </c>
      <c r="P16" s="2">
        <f>SUM(P10:P15)</f>
        <v>596</v>
      </c>
      <c r="Q16" s="4">
        <f t="shared" si="4"/>
        <v>0.23799999999999999</v>
      </c>
      <c r="S16" s="2">
        <f>SUM(S10:S15)</f>
        <v>236.96</v>
      </c>
      <c r="T16" s="4">
        <f t="shared" si="5"/>
        <v>0.23699999999999999</v>
      </c>
      <c r="V16" s="2">
        <f>SUM(V10:V15)</f>
        <v>172.32</v>
      </c>
      <c r="W16" s="4" t="str">
        <f t="shared" si="6"/>
        <v/>
      </c>
    </row>
    <row r="17" spans="1:23">
      <c r="D17" s="2"/>
      <c r="E17" s="5"/>
      <c r="F17" s="5"/>
      <c r="G17" s="2"/>
      <c r="H17" s="5"/>
      <c r="I17" s="2"/>
      <c r="J17" s="2"/>
      <c r="K17" s="5"/>
      <c r="L17" s="2"/>
      <c r="M17" s="2"/>
      <c r="N17" s="5"/>
      <c r="P17" s="2"/>
      <c r="Q17" s="5"/>
      <c r="S17" s="2"/>
      <c r="T17" s="5"/>
      <c r="V17" s="2"/>
      <c r="W17" s="5"/>
    </row>
    <row r="18" spans="1:23">
      <c r="A18" t="s">
        <v>74</v>
      </c>
      <c r="D18" s="6">
        <f>+D7-D16</f>
        <v>19.680000000000007</v>
      </c>
      <c r="E18" s="4">
        <f t="shared" si="0"/>
        <v>9.8000000000000004E-2</v>
      </c>
      <c r="F18" s="4"/>
      <c r="G18" s="6">
        <f>+G7-G16</f>
        <v>95.84</v>
      </c>
      <c r="H18" s="4">
        <f t="shared" si="1"/>
        <v>0.47899999999999998</v>
      </c>
      <c r="I18" s="2"/>
      <c r="J18" s="6">
        <f>+J7-J16</f>
        <v>787.68000000000006</v>
      </c>
      <c r="K18" s="4">
        <f t="shared" si="2"/>
        <v>0.78800000000000003</v>
      </c>
      <c r="L18" s="2"/>
      <c r="M18" s="6">
        <f>+M7-M16</f>
        <v>749.6</v>
      </c>
      <c r="N18" s="4">
        <f t="shared" si="3"/>
        <v>0.75</v>
      </c>
      <c r="P18" s="6">
        <f>+P7-P16</f>
        <v>1904</v>
      </c>
      <c r="Q18" s="4">
        <f t="shared" si="4"/>
        <v>0.76200000000000001</v>
      </c>
      <c r="S18" s="6">
        <f>+S7-S16</f>
        <v>763.04</v>
      </c>
      <c r="T18" s="4">
        <f t="shared" si="5"/>
        <v>0.76300000000000001</v>
      </c>
      <c r="V18" s="6">
        <f>+V7-V16</f>
        <v>-172.32</v>
      </c>
      <c r="W18" s="4" t="str">
        <f>IF(V$7=0,"",ROUND(V18/V$7,3))</f>
        <v/>
      </c>
    </row>
    <row r="19" spans="1:23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P19" s="2"/>
      <c r="Q19" s="2"/>
      <c r="S19" s="2"/>
      <c r="T19" s="2"/>
      <c r="V19" s="2"/>
      <c r="W19" s="2"/>
    </row>
    <row r="20" spans="1:23">
      <c r="D20" s="2"/>
      <c r="E20" s="2"/>
      <c r="F20" s="2"/>
      <c r="G20" s="2"/>
      <c r="H20" s="2"/>
      <c r="I20" s="2"/>
      <c r="J20" s="2"/>
      <c r="K20" s="2"/>
      <c r="L20" s="2"/>
      <c r="M20" s="2"/>
      <c r="P20" s="2"/>
      <c r="S20" s="2"/>
      <c r="V20" s="2"/>
    </row>
    <row r="21" spans="1:23">
      <c r="A21" s="13" t="s">
        <v>18</v>
      </c>
      <c r="B21" s="13"/>
      <c r="C21" s="13"/>
      <c r="D21" s="14">
        <f>+D10+D13</f>
        <v>136</v>
      </c>
      <c r="E21" s="15"/>
      <c r="F21" s="15"/>
      <c r="G21" s="14">
        <f>+G10+G13</f>
        <v>68</v>
      </c>
      <c r="H21" s="15"/>
      <c r="I21" s="15"/>
      <c r="J21" s="14">
        <f>+J10+J13</f>
        <v>136</v>
      </c>
      <c r="K21" s="15"/>
      <c r="L21" s="15"/>
      <c r="M21" s="14">
        <f>+M10+M13</f>
        <v>170</v>
      </c>
      <c r="N21" s="15"/>
      <c r="O21" s="15"/>
      <c r="P21" s="14">
        <f>+P10+P13</f>
        <v>425</v>
      </c>
      <c r="Q21" s="15"/>
      <c r="R21" s="13"/>
      <c r="S21" s="14">
        <f>+S10+S13</f>
        <v>158</v>
      </c>
      <c r="T21" s="15"/>
      <c r="U21" s="13"/>
      <c r="V21" s="14">
        <f>+V10+V13</f>
        <v>136</v>
      </c>
      <c r="W21" s="15"/>
    </row>
    <row r="24" spans="1:23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>
      <c r="A25" t="s">
        <v>32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>
      <c r="A34" t="s">
        <v>33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</sheetData>
  <mergeCells count="7">
    <mergeCell ref="V4:W5"/>
    <mergeCell ref="D4:E5"/>
    <mergeCell ref="G4:H5"/>
    <mergeCell ref="J4:K5"/>
    <mergeCell ref="M4:N5"/>
    <mergeCell ref="P4:Q5"/>
    <mergeCell ref="S4:T5"/>
  </mergeCells>
  <pageMargins left="0.37" right="0.37" top="0.56000000000000005" bottom="0.41" header="0.3" footer="0.3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>
      <selection activeCell="F4" sqref="F4"/>
    </sheetView>
  </sheetViews>
  <sheetFormatPr defaultRowHeight="15"/>
  <cols>
    <col min="1" max="1" width="5.28515625" customWidth="1"/>
    <col min="2" max="2" width="14.140625" bestFit="1" customWidth="1"/>
    <col min="3" max="3" width="10" bestFit="1" customWidth="1"/>
    <col min="4" max="4" width="6.7109375" bestFit="1" customWidth="1"/>
    <col min="6" max="6" width="17" bestFit="1" customWidth="1"/>
    <col min="7" max="7" width="12.140625" bestFit="1" customWidth="1"/>
    <col min="8" max="8" width="6.7109375" bestFit="1" customWidth="1"/>
    <col min="10" max="10" width="17" bestFit="1" customWidth="1"/>
    <col min="11" max="11" width="10" bestFit="1" customWidth="1"/>
    <col min="12" max="12" width="6.7109375" bestFit="1" customWidth="1"/>
  </cols>
  <sheetData>
    <row r="1" spans="1:12" ht="18.75">
      <c r="A1" s="10" t="s">
        <v>34</v>
      </c>
    </row>
    <row r="3" spans="1:12" ht="18.75">
      <c r="A3" s="10"/>
      <c r="B3" s="10"/>
      <c r="C3" s="10"/>
      <c r="D3" s="10"/>
      <c r="E3" s="10"/>
      <c r="F3" s="10"/>
      <c r="G3" s="10"/>
    </row>
    <row r="4" spans="1:12" ht="18.75">
      <c r="A4" s="10"/>
      <c r="B4" s="16" t="s">
        <v>35</v>
      </c>
      <c r="C4" s="10"/>
      <c r="D4" s="10"/>
      <c r="E4" s="10"/>
      <c r="F4" s="16" t="s">
        <v>36</v>
      </c>
      <c r="G4" s="10"/>
      <c r="I4" s="16"/>
      <c r="J4" s="16" t="s">
        <v>42</v>
      </c>
    </row>
    <row r="5" spans="1:12" ht="18.75">
      <c r="A5" s="10"/>
      <c r="B5" s="16"/>
      <c r="C5" s="10"/>
      <c r="D5" s="10"/>
      <c r="E5" s="10"/>
      <c r="F5" s="10"/>
      <c r="G5" s="10"/>
    </row>
    <row r="6" spans="1:12" ht="18.75">
      <c r="A6" s="10"/>
      <c r="B6" s="10" t="s">
        <v>37</v>
      </c>
      <c r="C6" s="20">
        <v>200</v>
      </c>
      <c r="D6" s="19">
        <f>ROUND(C6/C$6,3)</f>
        <v>1</v>
      </c>
      <c r="E6" s="10"/>
      <c r="F6" s="10" t="s">
        <v>37</v>
      </c>
      <c r="G6" s="20">
        <v>3500</v>
      </c>
      <c r="H6" s="19">
        <f>ROUND(G6/G$6,3)</f>
        <v>1</v>
      </c>
      <c r="I6" s="10"/>
      <c r="J6" s="10" t="s">
        <v>37</v>
      </c>
      <c r="K6" s="20">
        <v>273</v>
      </c>
      <c r="L6" s="19">
        <f>ROUND(K6/K$6,3)</f>
        <v>1</v>
      </c>
    </row>
    <row r="7" spans="1:12" ht="18.75">
      <c r="A7" s="17" t="s">
        <v>38</v>
      </c>
      <c r="B7" s="10" t="s">
        <v>14</v>
      </c>
      <c r="C7" s="20">
        <f>ROUND(1.5*17,2)</f>
        <v>25.5</v>
      </c>
      <c r="D7" s="19">
        <f t="shared" ref="D7:D9" si="0">ROUND(C7/C$6,3)</f>
        <v>0.128</v>
      </c>
      <c r="E7" s="17" t="s">
        <v>38</v>
      </c>
      <c r="F7" s="10" t="s">
        <v>41</v>
      </c>
      <c r="G7" s="20">
        <f>ROUND(4.5*(17+15),2)</f>
        <v>144</v>
      </c>
      <c r="H7" s="19">
        <f t="shared" ref="H7:H9" si="1">ROUND(G7/G$6,3)</f>
        <v>4.1000000000000002E-2</v>
      </c>
      <c r="I7" s="17" t="s">
        <v>38</v>
      </c>
      <c r="J7" s="10" t="s">
        <v>43</v>
      </c>
      <c r="K7" s="20">
        <v>130</v>
      </c>
      <c r="L7" s="19">
        <f t="shared" ref="L7:L9" si="2">ROUND(K7/K$6,3)</f>
        <v>0.47599999999999998</v>
      </c>
    </row>
    <row r="8" spans="1:12" ht="18.75">
      <c r="A8" s="17" t="s">
        <v>38</v>
      </c>
      <c r="B8" s="10" t="s">
        <v>29</v>
      </c>
      <c r="C8" s="20">
        <v>2</v>
      </c>
      <c r="D8" s="19">
        <f t="shared" si="0"/>
        <v>0.01</v>
      </c>
      <c r="E8" s="17" t="s">
        <v>38</v>
      </c>
      <c r="F8" s="10" t="s">
        <v>40</v>
      </c>
      <c r="G8" s="20">
        <v>2000</v>
      </c>
      <c r="H8" s="19">
        <f t="shared" si="1"/>
        <v>0.57099999999999995</v>
      </c>
      <c r="I8" s="17" t="s">
        <v>38</v>
      </c>
      <c r="J8" s="10" t="s">
        <v>44</v>
      </c>
      <c r="K8" s="20"/>
      <c r="L8" s="19">
        <f t="shared" si="2"/>
        <v>0</v>
      </c>
    </row>
    <row r="9" spans="1:12" ht="18.75">
      <c r="A9" s="10"/>
      <c r="B9" s="18" t="s">
        <v>39</v>
      </c>
      <c r="C9" s="21">
        <f>+C6-C7-C8</f>
        <v>172.5</v>
      </c>
      <c r="D9" s="19">
        <f t="shared" si="0"/>
        <v>0.86299999999999999</v>
      </c>
      <c r="E9" s="10"/>
      <c r="F9" s="18" t="s">
        <v>39</v>
      </c>
      <c r="G9" s="21">
        <f>+G6-G7-G8</f>
        <v>1356</v>
      </c>
      <c r="H9" s="19">
        <f t="shared" si="1"/>
        <v>0.38700000000000001</v>
      </c>
      <c r="I9" s="10"/>
      <c r="J9" s="18" t="s">
        <v>39</v>
      </c>
      <c r="K9" s="21">
        <f>+K6-K7-K8</f>
        <v>143</v>
      </c>
      <c r="L9" s="19">
        <f t="shared" si="2"/>
        <v>0.52400000000000002</v>
      </c>
    </row>
    <row r="10" spans="1:12" ht="18.75">
      <c r="A10" s="10"/>
      <c r="B10" s="10"/>
      <c r="C10" s="10"/>
      <c r="D10" s="10"/>
      <c r="E10" s="10"/>
      <c r="F10" s="10"/>
      <c r="G10" s="10"/>
    </row>
    <row r="11" spans="1:12" ht="18.75">
      <c r="A11" s="10"/>
      <c r="B11" s="10"/>
      <c r="C11" s="10"/>
      <c r="D11" s="10"/>
      <c r="E11" s="10"/>
      <c r="F11" s="10"/>
      <c r="G11" s="10"/>
    </row>
    <row r="12" spans="1:12" ht="18.75">
      <c r="A12" s="10"/>
      <c r="B12" s="10"/>
      <c r="C12" s="10"/>
      <c r="D12" s="10"/>
      <c r="E12" s="10"/>
      <c r="F12" s="10"/>
      <c r="G12" s="10"/>
    </row>
    <row r="13" spans="1:12" ht="18.75">
      <c r="A13" s="10"/>
      <c r="B13" s="10"/>
      <c r="C13" s="10"/>
      <c r="D13" s="10"/>
      <c r="E13" s="10"/>
      <c r="F13" s="10"/>
      <c r="G13" s="10"/>
    </row>
    <row r="14" spans="1:12" ht="18.75">
      <c r="A14" s="10"/>
      <c r="B14" s="10"/>
      <c r="C14" s="10"/>
      <c r="D14" s="10"/>
      <c r="E14" s="10"/>
      <c r="F14" s="10"/>
      <c r="G14" s="10"/>
    </row>
    <row r="15" spans="1:12" ht="18.75">
      <c r="A15" s="10"/>
      <c r="B15" s="10"/>
      <c r="C15" s="10"/>
      <c r="D15" s="10"/>
      <c r="E15" s="10"/>
      <c r="F15" s="10"/>
      <c r="G15" s="10"/>
    </row>
    <row r="16" spans="1:12" ht="18.75">
      <c r="A16" s="10"/>
      <c r="B16" s="10"/>
      <c r="C16" s="10"/>
      <c r="D16" s="10"/>
      <c r="E16" s="10"/>
      <c r="F16" s="10"/>
      <c r="G16" s="10"/>
    </row>
    <row r="17" spans="1:7" ht="18.75">
      <c r="A17" s="10"/>
      <c r="B17" s="10"/>
      <c r="C17" s="10"/>
      <c r="D17" s="10"/>
      <c r="E17" s="10"/>
      <c r="F17" s="10"/>
      <c r="G17" s="10"/>
    </row>
    <row r="18" spans="1:7" ht="18.75">
      <c r="A18" s="10"/>
      <c r="B18" s="10"/>
      <c r="C18" s="10"/>
      <c r="D18" s="10"/>
      <c r="E18" s="10"/>
      <c r="F18" s="10"/>
      <c r="G18" s="10"/>
    </row>
    <row r="19" spans="1:7" ht="18.75">
      <c r="A19" s="10"/>
      <c r="B19" s="10"/>
      <c r="C19" s="10"/>
      <c r="D19" s="10"/>
      <c r="E19" s="10"/>
      <c r="F19" s="10"/>
      <c r="G19" s="10"/>
    </row>
  </sheetData>
  <pageMargins left="0.7" right="0.7" top="0.75" bottom="0.75" header="0.3" footer="0.3"/>
  <pageSetup scale="9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opLeftCell="A17" workbookViewId="0">
      <selection sqref="A1:E30"/>
    </sheetView>
  </sheetViews>
  <sheetFormatPr defaultRowHeight="15"/>
  <cols>
    <col min="1" max="1" width="1.7109375" customWidth="1"/>
    <col min="2" max="2" width="20.42578125" customWidth="1"/>
    <col min="3" max="3" width="6.7109375" customWidth="1"/>
    <col min="5" max="5" width="9.85546875" bestFit="1" customWidth="1"/>
  </cols>
  <sheetData>
    <row r="1" spans="1:6">
      <c r="A1" t="s">
        <v>45</v>
      </c>
    </row>
    <row r="3" spans="1:6" ht="15.75">
      <c r="A3" s="9" t="s">
        <v>46</v>
      </c>
      <c r="C3" s="22" t="s">
        <v>47</v>
      </c>
      <c r="D3" s="22" t="s">
        <v>48</v>
      </c>
      <c r="E3" s="22" t="s">
        <v>49</v>
      </c>
    </row>
    <row r="4" spans="1:6">
      <c r="B4" t="s">
        <v>50</v>
      </c>
      <c r="C4" s="23">
        <v>8</v>
      </c>
      <c r="D4" s="24">
        <v>7.25</v>
      </c>
      <c r="E4" s="24">
        <f>ROUND(D4*C4,0)</f>
        <v>58</v>
      </c>
      <c r="F4">
        <v>1610</v>
      </c>
    </row>
    <row r="5" spans="1:6">
      <c r="B5" t="s">
        <v>51</v>
      </c>
      <c r="C5" s="23">
        <v>8</v>
      </c>
      <c r="D5" s="24">
        <v>20</v>
      </c>
      <c r="E5" s="24">
        <f>ROUND(D5*C5,0)</f>
        <v>160</v>
      </c>
    </row>
    <row r="6" spans="1:6">
      <c r="B6" t="s">
        <v>52</v>
      </c>
      <c r="C6" s="3">
        <v>0.33</v>
      </c>
      <c r="D6" s="24"/>
      <c r="E6" s="24">
        <f>ROUND(SUM(E4:E5)*C6,2)</f>
        <v>71.94</v>
      </c>
    </row>
    <row r="7" spans="1:6">
      <c r="B7" t="s">
        <v>53</v>
      </c>
      <c r="C7" s="3">
        <v>0.1</v>
      </c>
      <c r="D7" s="24"/>
      <c r="E7" s="24">
        <f>ROUND(SUM(E1:E6)*C7,2)</f>
        <v>28.99</v>
      </c>
    </row>
    <row r="8" spans="1:6">
      <c r="A8" s="13" t="s">
        <v>54</v>
      </c>
      <c r="B8" s="13"/>
      <c r="C8" s="13"/>
      <c r="D8" s="13"/>
      <c r="E8" s="25">
        <f>SUBTOTAL(9,E4:E7)</f>
        <v>318.93</v>
      </c>
    </row>
    <row r="10" spans="1:6" ht="15.75">
      <c r="A10" s="9" t="s">
        <v>55</v>
      </c>
      <c r="C10" s="22" t="s">
        <v>56</v>
      </c>
      <c r="D10" s="22" t="s">
        <v>57</v>
      </c>
      <c r="E10" s="22" t="s">
        <v>49</v>
      </c>
    </row>
    <row r="11" spans="1:6">
      <c r="B11" t="s">
        <v>58</v>
      </c>
      <c r="C11" s="23">
        <v>1</v>
      </c>
      <c r="D11" s="24">
        <v>934</v>
      </c>
      <c r="E11" s="24">
        <f t="shared" ref="E11:E16" si="0">ROUND(D11*C11,2)</f>
        <v>934</v>
      </c>
      <c r="F11">
        <v>1821.52</v>
      </c>
    </row>
    <row r="12" spans="1:6">
      <c r="B12" t="s">
        <v>59</v>
      </c>
      <c r="C12" s="23"/>
      <c r="D12" s="24"/>
      <c r="E12" s="24">
        <f t="shared" si="0"/>
        <v>0</v>
      </c>
    </row>
    <row r="13" spans="1:6">
      <c r="B13" t="s">
        <v>60</v>
      </c>
      <c r="C13" s="23"/>
      <c r="D13" s="24"/>
      <c r="E13" s="24">
        <f t="shared" si="0"/>
        <v>0</v>
      </c>
    </row>
    <row r="14" spans="1:6">
      <c r="B14" t="s">
        <v>61</v>
      </c>
      <c r="C14" s="23"/>
      <c r="D14" s="24"/>
      <c r="E14" s="24">
        <f t="shared" si="0"/>
        <v>0</v>
      </c>
    </row>
    <row r="15" spans="1:6">
      <c r="B15" t="s">
        <v>62</v>
      </c>
      <c r="C15" s="23"/>
      <c r="D15" s="24"/>
      <c r="E15" s="24">
        <f t="shared" si="0"/>
        <v>0</v>
      </c>
    </row>
    <row r="16" spans="1:6">
      <c r="B16" t="s">
        <v>63</v>
      </c>
      <c r="C16" s="23"/>
      <c r="D16" s="24"/>
      <c r="E16" s="24">
        <f t="shared" si="0"/>
        <v>0</v>
      </c>
    </row>
    <row r="17" spans="1:6">
      <c r="B17" t="s">
        <v>53</v>
      </c>
      <c r="C17" s="3">
        <v>0.1</v>
      </c>
      <c r="D17" s="24"/>
      <c r="E17" s="24">
        <f>ROUND(SUM(E11:E16)*C17,2)</f>
        <v>93.4</v>
      </c>
    </row>
    <row r="18" spans="1:6">
      <c r="A18" s="13" t="s">
        <v>64</v>
      </c>
      <c r="B18" s="13"/>
      <c r="C18" s="13"/>
      <c r="D18" s="13"/>
      <c r="E18" s="25">
        <f>SUBTOTAL(9,E11:E17)</f>
        <v>1027.4000000000001</v>
      </c>
    </row>
    <row r="20" spans="1:6" ht="15.75">
      <c r="A20" s="9" t="s">
        <v>65</v>
      </c>
      <c r="E20" s="22" t="s">
        <v>49</v>
      </c>
    </row>
    <row r="21" spans="1:6">
      <c r="B21" t="s">
        <v>66</v>
      </c>
      <c r="D21" s="24"/>
      <c r="E21" s="24">
        <v>200</v>
      </c>
    </row>
    <row r="22" spans="1:6">
      <c r="B22" t="s">
        <v>67</v>
      </c>
      <c r="D22" s="24"/>
      <c r="E22" s="24"/>
    </row>
    <row r="23" spans="1:6">
      <c r="B23" t="s">
        <v>68</v>
      </c>
      <c r="D23" s="24"/>
      <c r="E23" s="24"/>
    </row>
    <row r="24" spans="1:6">
      <c r="B24" t="s">
        <v>53</v>
      </c>
      <c r="C24" s="3">
        <v>0.2</v>
      </c>
      <c r="D24" s="24"/>
      <c r="E24" s="24">
        <f>ROUND(SUM(E21:E23)*C24,2)</f>
        <v>40</v>
      </c>
    </row>
    <row r="25" spans="1:6">
      <c r="A25" s="13" t="s">
        <v>69</v>
      </c>
      <c r="B25" s="13"/>
      <c r="C25" s="13"/>
      <c r="D25" s="13"/>
      <c r="E25" s="25">
        <f>SUBTOTAL(9,E18:E24)</f>
        <v>240</v>
      </c>
    </row>
    <row r="27" spans="1:6">
      <c r="A27" s="26" t="s">
        <v>70</v>
      </c>
      <c r="B27" s="26"/>
      <c r="C27" s="27">
        <f>1-C29-C28</f>
        <v>0.5</v>
      </c>
      <c r="D27" s="26"/>
      <c r="E27" s="28">
        <f>SUBTOTAL(9,E3:E26)</f>
        <v>1586.3300000000002</v>
      </c>
    </row>
    <row r="28" spans="1:6">
      <c r="A28" s="26" t="s">
        <v>71</v>
      </c>
      <c r="B28" s="26"/>
      <c r="C28" s="29">
        <v>0</v>
      </c>
      <c r="D28" s="26"/>
      <c r="E28" s="28">
        <f>ROUND(C28*E30,2)</f>
        <v>0</v>
      </c>
    </row>
    <row r="29" spans="1:6" ht="15.75" thickBot="1">
      <c r="A29" t="s">
        <v>72</v>
      </c>
      <c r="C29" s="30">
        <v>0.5</v>
      </c>
      <c r="E29" s="24">
        <f>+E30-E27-E28</f>
        <v>1586.6699999999998</v>
      </c>
      <c r="F29">
        <v>0.65</v>
      </c>
    </row>
    <row r="30" spans="1:6" ht="16.5" thickTop="1" thickBot="1">
      <c r="A30" s="31" t="s">
        <v>73</v>
      </c>
      <c r="B30" s="32"/>
      <c r="C30" s="32"/>
      <c r="D30" s="32"/>
      <c r="E30" s="33">
        <f>ROUNDUP(E27/C27,0)</f>
        <v>3173</v>
      </c>
      <c r="F30">
        <v>3434</v>
      </c>
    </row>
    <row r="31" spans="1:6" ht="15.75" thickTop="1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fixed variable</vt:lpstr>
      <vt:lpstr>margin</vt:lpstr>
      <vt:lpstr>job pricing model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</dc:creator>
  <cp:lastModifiedBy>Patty</cp:lastModifiedBy>
  <cp:lastPrinted>2015-04-06T19:12:25Z</cp:lastPrinted>
  <dcterms:created xsi:type="dcterms:W3CDTF">2015-04-06T13:44:39Z</dcterms:created>
  <dcterms:modified xsi:type="dcterms:W3CDTF">2015-04-14T13:41:17Z</dcterms:modified>
</cp:coreProperties>
</file>